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Accounts" sheetId="1" r:id="rId1"/>
    <sheet name="Ratios &amp; covenants" sheetId="2" r:id="rId2"/>
    <sheet name="Facilities &amp; security" sheetId="3" r:id="rId3"/>
    <sheet name="Conduct &amp; debtors" sheetId="4" r:id="rId4"/>
    <sheet name="Budget" sheetId="5" r:id="rId5"/>
    <sheet name="The business" sheetId="6" r:id="rId6"/>
  </sheets>
  <calcPr calcId="191029" fullCalcOnLoad="1"/>
</workbook>
</file>

<file path=xl/sharedStrings.xml><?xml version="1.0" encoding="utf-8"?>
<sst xmlns="http://schemas.openxmlformats.org/spreadsheetml/2006/main" count="239" uniqueCount="198">
  <si>
    <t>Highview Industries Ltd</t>
  </si>
  <si>
    <t>Issue 04 · Highview Industries — Working Capital Drill</t>
  </si>
  <si>
    <t>US$ thousands (US$000), FY23–FY25. FY25 is the year just closed; FY26, the year the request is for, is 78% contracted.</t>
  </si>
  <si>
    <t>As the file stood when the request arrived: FY25 accounts final, FY26 budget approved by the board.</t>
  </si>
  <si>
    <t>Operating cash flow is after interest and tax paid; debtor days are on revenue, stock and creditor days on cost of sales.</t>
  </si>
  <si>
    <t>Blue figures are typed in; black ones are formulas. Costs and outflows are positive and subtracted; loan flows are signed, a repayment negative. The first year's balances are values: the opening balance sheet is not in the file.</t>
  </si>
  <si>
    <t>https://www.bankingjudgmentlab.com/drills/highview-working-capital</t>
  </si>
  <si>
    <t>Composite case — fictional. Built for teaching; it describes no real company.</t>
  </si>
  <si>
    <t>PROFIT AND LOSS · US$000</t>
  </si>
  <si>
    <t>FY23</t>
  </si>
  <si>
    <t>FY24</t>
  </si>
  <si>
    <t>FY25</t>
  </si>
  <si>
    <t>Revenue</t>
  </si>
  <si>
    <t>Cost of sales</t>
  </si>
  <si>
    <t>Gross profit</t>
  </si>
  <si>
    <t>Overheads</t>
  </si>
  <si>
    <t>EBITDA</t>
  </si>
  <si>
    <t>Depreciation</t>
  </si>
  <si>
    <t>EBIT</t>
  </si>
  <si>
    <t>Interest</t>
  </si>
  <si>
    <t>Profit before tax</t>
  </si>
  <si>
    <t>Tax</t>
  </si>
  <si>
    <t>Net profit after tax</t>
  </si>
  <si>
    <t>BALANCE SHEET AT YEAR-END · US$000</t>
  </si>
  <si>
    <t>Cash</t>
  </si>
  <si>
    <t>Receivables</t>
  </si>
  <si>
    <t>Inventory</t>
  </si>
  <si>
    <t>Current assets</t>
  </si>
  <si>
    <t>Plant and equipment</t>
  </si>
  <si>
    <t>Total assets</t>
  </si>
  <si>
    <t>Trade payables</t>
  </si>
  <si>
    <t>Revolver (drawn)</t>
  </si>
  <si>
    <t>Term loan</t>
  </si>
  <si>
    <t>Total liabilities</t>
  </si>
  <si>
    <t>Shareholders' equity</t>
  </si>
  <si>
    <t>Total liabilities and equity</t>
  </si>
  <si>
    <t>CASH FLOW · US$000</t>
  </si>
  <si>
    <t>Increase in working capital</t>
  </si>
  <si>
    <t>Interest paid</t>
  </si>
  <si>
    <t>Tax paid</t>
  </si>
  <si>
    <t>Operating cash flow</t>
  </si>
  <si>
    <t>Capital expenditure</t>
  </si>
  <si>
    <t>Dividends</t>
  </si>
  <si>
    <t>Term loan drawn / (repaid)</t>
  </si>
  <si>
    <t>Revolver drawn / (repaid)</t>
  </si>
  <si>
    <t>Net change in cash</t>
  </si>
  <si>
    <t>Highview Industries Ltd · Issue 04 — ratios and covenants</t>
  </si>
  <si>
    <t>Computed from the Accounts sheet: debtor days on revenue, stock and creditor days on cost of sales, a 365-day year.</t>
  </si>
  <si>
    <t>RATIOS FROM THE STATEMENTS</t>
  </si>
  <si>
    <t>Revenue growth</t>
  </si>
  <si>
    <t>—</t>
  </si>
  <si>
    <t>EBITDA margin</t>
  </si>
  <si>
    <t>Operating cash flow ÷ EBITDA</t>
  </si>
  <si>
    <t>Debtor days (on revenue)</t>
  </si>
  <si>
    <t>Stock days (on cost of sales)</t>
  </si>
  <si>
    <t>Creditor days (on cost of sales)</t>
  </si>
  <si>
    <t>Cash conversion cycle, days</t>
  </si>
  <si>
    <t>Total debt ÷ EBITDA</t>
  </si>
  <si>
    <t>COVENANTS, TESTED ON THE AUDITED ACCOUNTS</t>
  </si>
  <si>
    <t>Total debt to EBITDA — no more than 2.5×</t>
  </si>
  <si>
    <t>Interest cover (EBIT to interest) — at least 3.0×</t>
  </si>
  <si>
    <t>Audited annual accounts within 120 days of year-end, with a certificate of the two covenants. FY25's arrived on day 94.</t>
  </si>
  <si>
    <t>Nothing monthly or quarterly is required. The board receives monthly management accounts; the bank does not.</t>
  </si>
  <si>
    <t>Every covenant met, every instalment paid on its date, since the relationship began in 2021.</t>
  </si>
  <si>
    <t>Highview Industries Ltd · Issue 04 — facilities and security</t>
  </si>
  <si>
    <t>THE FACILITIES</t>
  </si>
  <si>
    <t>Facility</t>
  </si>
  <si>
    <t>Now</t>
  </si>
  <si>
    <t>Requested</t>
  </si>
  <si>
    <t>Note</t>
  </si>
  <si>
    <t>Working capital revolver</t>
  </si>
  <si>
    <t>US$2.5m limit · US$2.1m drawn</t>
  </si>
  <si>
    <t>US$4.0m limit</t>
  </si>
  <si>
    <t>Annual review, rolling. Drawn to within US$0.1m of the limit at the FY25 peak.</t>
  </si>
  <si>
    <t>Term loan — capacity expansion</t>
  </si>
  <si>
    <t>US$5.5m outstanding</t>
  </si>
  <si>
    <t>Unchanged</t>
  </si>
  <si>
    <t>US$6.0m drawn in FY24 for the new line; US$0.5m a year, paid on schedule. The equipment loan before it was repaid in FY25.</t>
  </si>
  <si>
    <t>Security and covenants</t>
  </si>
  <si>
    <t>General security agreement; total debt ÷ EBITDA ≤ 2.5×, interest cover ≥ 3.0×, tested on annual accounts</t>
  </si>
  <si>
    <t>No guarantees. Both covenants met with room in each of the three years.</t>
  </si>
  <si>
    <t>FACILITIES AND PRICING</t>
  </si>
  <si>
    <t>Amount</t>
  </si>
  <si>
    <t>Pricing</t>
  </si>
  <si>
    <t>Terms</t>
  </si>
  <si>
    <t>Limit US$2.5m; US$2.1m drawn at the FY25 year-end</t>
  </si>
  <si>
    <t>Floating; 8.0% all-in on drawings through FY25; line fee 0.50% on the limit; renewal fee 0.25%</t>
  </si>
  <si>
    <t>Annual review, rolling</t>
  </si>
  <si>
    <t>Term loan — the expansion line</t>
  </si>
  <si>
    <t>US$6.0m drawn in FY24; US$5.5m at the FY25 year-end</t>
  </si>
  <si>
    <t>Fixed 7.0% to maturity</t>
  </si>
  <si>
    <t>US$0.5m a year in half-yearly instalments; final maturity February 2033, the balance then repaid in one amount</t>
  </si>
  <si>
    <t>Equipment loan (older)</t>
  </si>
  <si>
    <t>Repaid in full during FY25</t>
  </si>
  <si>
    <t>Foreign exchange line</t>
  </si>
  <si>
    <t>Forward contracts up to US$0.5m</t>
  </si>
  <si>
    <t>Dealing margin</t>
  </si>
  <si>
    <t>For euro-priced machinery and parts</t>
  </si>
  <si>
    <t>SECURITY</t>
  </si>
  <si>
    <t>General security agreement</t>
  </si>
  <si>
    <t>Over all present and after-acquired property of Highview Industries Ltd, first-ranking, registered when the relationship began in 2021.</t>
  </si>
  <si>
    <t>The landlord's consent</t>
  </si>
  <si>
    <t>The family trust has agreed in writing that the bank may enter the premises to take and remove plant — without it, security over plant in a leased building is hard to reach.</t>
  </si>
  <si>
    <t>Valuation of the expansion line</t>
  </si>
  <si>
    <t>Independent, at purchase in FY24: installed cost US$6.6m; forced-sale value US$3.1m.</t>
  </si>
  <si>
    <t>Guarantees</t>
  </si>
  <si>
    <t>None.</t>
  </si>
  <si>
    <t>Highview Industries Ltd · Issue 04 — conduct, debtors and customers</t>
  </si>
  <si>
    <t>THE REVOLVER, MONTH-END BY MONTH-END</t>
  </si>
  <si>
    <t>US$000</t>
  </si>
  <si>
    <t>Limit</t>
  </si>
  <si>
    <t>M1</t>
  </si>
  <si>
    <t>M2</t>
  </si>
  <si>
    <t>M3</t>
  </si>
  <si>
    <t>M4</t>
  </si>
  <si>
    <t>M5</t>
  </si>
  <si>
    <t>M6</t>
  </si>
  <si>
    <t>M7</t>
  </si>
  <si>
    <t>M8</t>
  </si>
  <si>
    <t>M9</t>
  </si>
  <si>
    <t>M10</t>
  </si>
  <si>
    <t>M11</t>
  </si>
  <si>
    <t>M12</t>
  </si>
  <si>
    <t>No excess over the limit and no dishonoured payment in the year. The revolver ran within US$0.1m of its limit for six month-ends in a row as the new volume built.</t>
  </si>
  <si>
    <t>DEBTORS AT THE FY25 YEAR-END</t>
  </si>
  <si>
    <t>Share</t>
  </si>
  <si>
    <t>Within terms (up to 45 days)</t>
  </si>
  <si>
    <t>46–60 days</t>
  </si>
  <si>
    <t>61–90 days</t>
  </si>
  <si>
    <t>Over 90 days</t>
  </si>
  <si>
    <t>One invoice, disputed by a fit-out subcontractor; not provided</t>
  </si>
  <si>
    <t>Total, as in the balance sheet</t>
  </si>
  <si>
    <t>CUSTOMERS</t>
  </si>
  <si>
    <t>Customer</t>
  </si>
  <si>
    <t>BUDGET</t>
  </si>
  <si>
    <t>Dairy-equipment manufacturer</t>
  </si>
  <si>
    <t>Three-year supply agreement, CPI-linked; its standard 45 days</t>
  </si>
  <si>
    <t>Healthcare fit-out group</t>
  </si>
  <si>
    <t>Three-year supply agreement, CPI-linked; 45 days</t>
  </si>
  <si>
    <t>Three further supply agreements</t>
  </si>
  <si>
    <t>Food-processing equipment, fire-protection equipment, specialist vehicle bodies; three-year, CPI-linked</t>
  </si>
  <si>
    <t>About 140 other customers</t>
  </si>
  <si>
    <t>Order by order; 30–45 days</t>
  </si>
  <si>
    <t>Highview Industries Ltd · Issue 04 — budget</t>
  </si>
  <si>
    <t>MANAGEMENT'S BUDGET FOR THE YEAR AHEAD</t>
  </si>
  <si>
    <t>Line</t>
  </si>
  <si>
    <t>FY25 ACTUAL</t>
  </si>
  <si>
    <t>US$38.0m</t>
  </si>
  <si>
    <t>US$43.0m</t>
  </si>
  <si>
    <t>12.4%</t>
  </si>
  <si>
    <t>12.5%</t>
  </si>
  <si>
    <t>US$4.71m</t>
  </si>
  <si>
    <t>US$5.38m</t>
  </si>
  <si>
    <t>Working capital added</t>
  </si>
  <si>
    <t>US$1.13m</t>
  </si>
  <si>
    <t>US$0.90m — the FY25 cycle on the extra sales</t>
  </si>
  <si>
    <t>US$2.15m</t>
  </si>
  <si>
    <t>US$2.85m</t>
  </si>
  <si>
    <t>Capital spending</t>
  </si>
  <si>
    <t>US$1.10m</t>
  </si>
  <si>
    <t>US$1.60m — tooling for the step-up</t>
  </si>
  <si>
    <t>US$0.70m</t>
  </si>
  <si>
    <t>US$0.90m</t>
  </si>
  <si>
    <t>Term loan principal</t>
  </si>
  <si>
    <t>US$0.80m</t>
  </si>
  <si>
    <t>US$0.50m</t>
  </si>
  <si>
    <t>Revolver at year-end</t>
  </si>
  <si>
    <t>US$2.10m</t>
  </si>
  <si>
    <t>US$2.25m, peaking near US$3.4m in the second quarter</t>
  </si>
  <si>
    <t>LAST YEAR'S BUDGET, AGAINST WHAT ARRIVED</t>
  </si>
  <si>
    <t>Budget</t>
  </si>
  <si>
    <t>Actual</t>
  </si>
  <si>
    <t>US$36.0m</t>
  </si>
  <si>
    <t>US$4.30m</t>
  </si>
  <si>
    <t>US$1.00m</t>
  </si>
  <si>
    <t>Debtor days</t>
  </si>
  <si>
    <t>45</t>
  </si>
  <si>
    <t>44</t>
  </si>
  <si>
    <t>Highview Industries Ltd · Issue 04 — ownership, people and what is not in the file</t>
  </si>
  <si>
    <t>OWNERSHIP, PEOPLE, PREMISES</t>
  </si>
  <si>
    <t>Holder</t>
  </si>
  <si>
    <t>The managing director</t>
  </si>
  <si>
    <t>Founded the business eleven years ago</t>
  </si>
  <si>
    <t>The operations manager</t>
  </si>
  <si>
    <t>Joined in the business's third year; the shares were issued later</t>
  </si>
  <si>
    <t>Managing director</t>
  </si>
  <si>
    <t>Founder; a toolmaker by trade. Runs sales and the two big customer relationships himself.</t>
  </si>
  <si>
    <t>Operations manager</t>
  </si>
  <si>
    <t>Runs the floor and the expansion line; the second shareholder.</t>
  </si>
  <si>
    <t>Finance manager</t>
  </si>
  <si>
    <t>A chartered accountant who joined three years ago; produces monthly management accounts for the board.</t>
  </si>
  <si>
    <t>Leased, not owned: the Hamilton factory belongs to the managing director's family trust and is let to the company at a rent set by an independent valuer, with a lease running five more years and two rights of renewal. The rent sits in overheads.</t>
  </si>
  <si>
    <t>WHAT IS STILL NOT IN THE FILE</t>
  </si>
  <si>
    <t>The two supply agreements themselves — volume commitments, termination rights, what happens at renewal.</t>
  </si>
  <si>
    <t>A site visit: the expansion line running, the stock on the floor, how much of it is work in progress.</t>
  </si>
  <si>
    <t>The credit standing of the two large customers.</t>
  </si>
  <si>
    <t>The insurance schedule, and the bank's interest noted on it.</t>
  </si>
  <si>
    <t>A monthly cash forecast for the step-up quarter, rather than a year-end budget.</t>
  </si>
</sst>
</file>

<file path=xl/styles.xml><?xml version="1.0" encoding="utf-8"?>
<styleSheet xmlns="http://schemas.openxmlformats.org/spreadsheetml/2006/main">
  <numFmts count="3">
    <numFmt numFmtId="164" formatCode="#,##0;(#,##0)"/>
    <numFmt numFmtId="165" formatCode="0.0%"/>
    <numFmt numFmtId="166" formatCode="0.0&quot;×&quot;"/>
  </numFmts>
  <fonts count="6">
    <font>
      <sz val="11"/>
      <name val="Calibri"/>
      <family val="2"/>
    </font>
    <font>
      <b/>
      <sz val="14"/>
      <name val="Calibri"/>
      <family val="2"/>
    </font>
    <font>
      <b/>
      <sz val="11"/>
      <name val="Calibri"/>
      <family val="2"/>
    </font>
    <font>
      <i/>
      <sz val="11"/>
      <color rgb="FF5B6472"/>
      <name val="Calibri"/>
      <family val="2"/>
    </font>
    <font>
      <sz val="11"/>
      <color rgb="FF1D4ED8"/>
      <name val="Calibri"/>
      <family val="2"/>
    </font>
    <font>
      <sz val="11"/>
      <color rgb="FF5B6472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8C939E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vertical="top" wrapText="1"/>
    </xf>
    <xf numFmtId="0" fontId="3" fillId="0" borderId="0" xfId="0" applyFont="1"/>
    <xf numFmtId="0" fontId="2" fillId="0" borderId="0" xfId="0" applyFont="1" applyAlignment="1">
      <alignment horizontal="right"/>
    </xf>
    <xf numFmtId="164" fontId="4" fillId="0" borderId="0" xfId="0" applyNumberFormat="1" applyFont="1"/>
    <xf numFmtId="0" fontId="2" fillId="0" borderId="1" xfId="0" applyFont="1" applyBorder="1"/>
    <xf numFmtId="164" fontId="2" fillId="0" borderId="1" xfId="0" applyNumberFormat="1" applyFont="1" applyBorder="1"/>
    <xf numFmtId="164" fontId="0" fillId="0" borderId="0" xfId="0" applyNumberFormat="1"/>
    <xf numFmtId="0" fontId="5" fillId="0" borderId="0" xfId="0" applyFont="1" applyAlignment="1">
      <alignment vertical="top" wrapText="1"/>
    </xf>
    <xf numFmtId="0" fontId="0" fillId="0" borderId="0" xfId="0" applyAlignment="1">
      <alignment horizontal="right"/>
    </xf>
    <xf numFmtId="165" fontId="0" fillId="0" borderId="0" xfId="0" applyNumberFormat="1"/>
    <xf numFmtId="1" fontId="0" fillId="0" borderId="0" xfId="0" applyNumberFormat="1"/>
    <xf numFmtId="166" fontId="0" fillId="0" borderId="0" xfId="0" applyNumberFormat="1"/>
    <xf numFmtId="9" fontId="0" fillId="0" borderId="0" xfId="0" applyNumberForma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bankingjudgmentlab.com/drills/highview-working-capit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47"/>
  <sheetViews>
    <sheetView tabSelected="1" workbookViewId="0"/>
  </sheetViews>
  <sheetFormatPr defaultRowHeight="15"/>
  <cols>
    <col min="1" max="1" width="48" customWidth="1"/>
    <col min="2" max="2" width="13" customWidth="1"/>
    <col min="3" max="3" width="13" customWidth="1"/>
    <col min="4" max="4" width="13" customWidth="1"/>
  </cols>
  <sheetData>
    <row r="1">
      <c r="A1" s="1" t="s">
        <v>0</v>
      </c>
    </row>
    <row r="2">
      <c r="A2" s="2" t="s">
        <v>1</v>
      </c>
    </row>
    <row r="3" ht="30" customHeight="1">
      <c r="A3" s="3" t="s">
        <v>2</v>
      </c>
    </row>
    <row r="4">
      <c r="A4" s="3" t="s">
        <v>3</v>
      </c>
    </row>
    <row r="5" ht="30" customHeight="1">
      <c r="A5" s="3" t="s">
        <v>4</v>
      </c>
    </row>
    <row r="6" ht="45" customHeight="1">
      <c r="A6" s="3" t="s">
        <v>5</v>
      </c>
    </row>
    <row r="7">
      <c r="A7" t="s">
        <v>6</v>
      </c>
    </row>
    <row r="8">
      <c r="A8" s="4" t="s">
        <v>7</v>
      </c>
    </row>
    <row r="10">
      <c r="A10" s="2" t="s">
        <v>8</v>
      </c>
      <c r="B10" s="5" t="s">
        <v>9</v>
      </c>
      <c r="C10" s="5" t="s">
        <v>10</v>
      </c>
      <c r="D10" s="5" t="s">
        <v>11</v>
      </c>
    </row>
    <row r="11">
      <c r="A11" t="s">
        <v>12</v>
      </c>
      <c r="B11" s="6">
        <v>28000</v>
      </c>
      <c r="C11" s="6">
        <v>31200</v>
      </c>
      <c r="D11" s="6">
        <v>38000</v>
      </c>
    </row>
    <row r="12">
      <c r="A12" t="s">
        <v>13</v>
      </c>
      <c r="B12" s="6">
        <v>19656</v>
      </c>
      <c r="C12" s="6">
        <v>21840</v>
      </c>
      <c r="D12" s="6">
        <v>26600</v>
      </c>
    </row>
    <row r="13">
      <c r="A13" s="7" t="s">
        <v>14</v>
      </c>
      <c r="B13" s="8">
        <f>B11-B12</f>
        <v>8344</v>
      </c>
      <c r="C13" s="8">
        <f>C11-C12</f>
        <v>9360</v>
      </c>
      <c r="D13" s="8">
        <f>D11-D12</f>
        <v>11400</v>
      </c>
    </row>
    <row r="14">
      <c r="A14" t="s">
        <v>15</v>
      </c>
      <c r="B14" s="6">
        <v>5096</v>
      </c>
      <c r="C14" s="6">
        <v>5710</v>
      </c>
      <c r="D14" s="6">
        <v>6688</v>
      </c>
    </row>
    <row r="15">
      <c r="A15" s="7" t="s">
        <v>16</v>
      </c>
      <c r="B15" s="8">
        <f>B13-B14</f>
        <v>3248</v>
      </c>
      <c r="C15" s="8">
        <f>C13-C14</f>
        <v>3650</v>
      </c>
      <c r="D15" s="8">
        <f>D13-D14</f>
        <v>4712</v>
      </c>
    </row>
    <row r="16">
      <c r="A16" t="s">
        <v>17</v>
      </c>
      <c r="B16" s="6">
        <v>720</v>
      </c>
      <c r="C16" s="6">
        <v>900</v>
      </c>
      <c r="D16" s="6">
        <v>1250</v>
      </c>
    </row>
    <row r="17">
      <c r="A17" s="7" t="s">
        <v>18</v>
      </c>
      <c r="B17" s="8">
        <f>B15-B16</f>
        <v>2528</v>
      </c>
      <c r="C17" s="8">
        <f>C15-C16</f>
        <v>2750</v>
      </c>
      <c r="D17" s="8">
        <f>D15-D16</f>
        <v>3462</v>
      </c>
    </row>
    <row r="18">
      <c r="A18" t="s">
        <v>19</v>
      </c>
      <c r="B18" s="6">
        <v>190</v>
      </c>
      <c r="C18" s="6">
        <v>500</v>
      </c>
      <c r="D18" s="6">
        <v>640</v>
      </c>
    </row>
    <row r="19">
      <c r="A19" s="7" t="s">
        <v>20</v>
      </c>
      <c r="B19" s="8">
        <f>B17-B18</f>
        <v>2338</v>
      </c>
      <c r="C19" s="8">
        <f>C17-C18</f>
        <v>2250</v>
      </c>
      <c r="D19" s="8">
        <f>D17-D18</f>
        <v>2822</v>
      </c>
    </row>
    <row r="20">
      <c r="A20" t="s">
        <v>21</v>
      </c>
      <c r="B20" s="6">
        <v>655</v>
      </c>
      <c r="C20" s="6">
        <v>630</v>
      </c>
      <c r="D20" s="6">
        <v>790</v>
      </c>
    </row>
    <row r="21">
      <c r="A21" s="7" t="s">
        <v>22</v>
      </c>
      <c r="B21" s="8">
        <f>B19-B20</f>
        <v>1683</v>
      </c>
      <c r="C21" s="8">
        <f>C19-C20</f>
        <v>1620</v>
      </c>
      <c r="D21" s="8">
        <f>D19-D20</f>
        <v>2032</v>
      </c>
    </row>
    <row r="23">
      <c r="A23" s="2" t="s">
        <v>23</v>
      </c>
      <c r="B23" s="5" t="s">
        <v>9</v>
      </c>
      <c r="C23" s="5" t="s">
        <v>10</v>
      </c>
      <c r="D23" s="5" t="s">
        <v>11</v>
      </c>
    </row>
    <row r="24">
      <c r="A24" t="s">
        <v>24</v>
      </c>
      <c r="B24" s="6">
        <v>241</v>
      </c>
      <c r="C24" s="9">
        <f>B24+C47</f>
        <v>523</v>
      </c>
      <c r="D24" s="9">
        <f>C24+D47</f>
        <v>572</v>
      </c>
    </row>
    <row r="25">
      <c r="A25" t="s">
        <v>25</v>
      </c>
      <c r="B25" s="6">
        <v>3222</v>
      </c>
      <c r="C25" s="6">
        <v>3676</v>
      </c>
      <c r="D25" s="6">
        <v>4581</v>
      </c>
    </row>
    <row r="26">
      <c r="A26" t="s">
        <v>26</v>
      </c>
      <c r="B26" s="6">
        <v>3231</v>
      </c>
      <c r="C26" s="6">
        <v>3590</v>
      </c>
      <c r="D26" s="6">
        <v>4373</v>
      </c>
    </row>
    <row r="27">
      <c r="A27" s="7" t="s">
        <v>27</v>
      </c>
      <c r="B27" s="8">
        <f>B24+B25+B26</f>
        <v>6694</v>
      </c>
      <c r="C27" s="8">
        <f>C24+C25+C26</f>
        <v>7789</v>
      </c>
      <c r="D27" s="8">
        <f>D24+D25+D26</f>
        <v>9526</v>
      </c>
    </row>
    <row r="28">
      <c r="A28" t="s">
        <v>28</v>
      </c>
      <c r="B28" s="6">
        <v>5380</v>
      </c>
      <c r="C28" s="9">
        <f>B28+C43-C16</f>
        <v>11080</v>
      </c>
      <c r="D28" s="9">
        <f>C28+D43-D16</f>
        <v>10930</v>
      </c>
    </row>
    <row r="29">
      <c r="A29" s="7" t="s">
        <v>29</v>
      </c>
      <c r="B29" s="8">
        <f>B27+B28</f>
        <v>12074</v>
      </c>
      <c r="C29" s="8">
        <f>C27+C28</f>
        <v>18869</v>
      </c>
      <c r="D29" s="8">
        <f>D27+D28</f>
        <v>20456</v>
      </c>
    </row>
    <row r="30">
      <c r="A30" t="s">
        <v>30</v>
      </c>
      <c r="B30" s="6">
        <v>1939</v>
      </c>
      <c r="C30" s="6">
        <v>2214</v>
      </c>
      <c r="D30" s="6">
        <v>2769</v>
      </c>
    </row>
    <row r="31">
      <c r="A31" t="s">
        <v>31</v>
      </c>
      <c r="B31" s="6">
        <v>2000</v>
      </c>
      <c r="C31" s="6">
        <v>1600</v>
      </c>
      <c r="D31" s="6">
        <v>2100</v>
      </c>
    </row>
    <row r="32">
      <c r="A32" t="s">
        <v>32</v>
      </c>
      <c r="B32" s="6">
        <v>600</v>
      </c>
      <c r="C32" s="9">
        <f>B32+C45</f>
        <v>6300</v>
      </c>
      <c r="D32" s="9">
        <f>C32+D45</f>
        <v>5500</v>
      </c>
    </row>
    <row r="33">
      <c r="A33" s="7" t="s">
        <v>33</v>
      </c>
      <c r="B33" s="8">
        <f>B30+B31+B32</f>
        <v>4539</v>
      </c>
      <c r="C33" s="8">
        <f>C30+C31+C32</f>
        <v>10114</v>
      </c>
      <c r="D33" s="8">
        <f>D30+D31+D32</f>
        <v>10369</v>
      </c>
    </row>
    <row r="34">
      <c r="A34" s="7" t="s">
        <v>34</v>
      </c>
      <c r="B34" s="6">
        <v>7535</v>
      </c>
      <c r="C34" s="8">
        <f>B34+C21-C44</f>
        <v>8755</v>
      </c>
      <c r="D34" s="8">
        <f>C34+D21-D44</f>
        <v>10087</v>
      </c>
    </row>
    <row r="35">
      <c r="A35" s="7" t="s">
        <v>35</v>
      </c>
      <c r="B35" s="8">
        <f>B33+B34</f>
        <v>12074</v>
      </c>
      <c r="C35" s="8">
        <f>C33+C34</f>
        <v>18869</v>
      </c>
      <c r="D35" s="8">
        <f>D33+D34</f>
        <v>20456</v>
      </c>
    </row>
    <row r="37">
      <c r="A37" s="2" t="s">
        <v>36</v>
      </c>
      <c r="B37" s="5" t="s">
        <v>9</v>
      </c>
      <c r="C37" s="5" t="s">
        <v>10</v>
      </c>
      <c r="D37" s="5" t="s">
        <v>11</v>
      </c>
    </row>
    <row r="38">
      <c r="A38" t="s">
        <v>16</v>
      </c>
      <c r="B38" s="9">
        <f>B15</f>
        <v>3248</v>
      </c>
      <c r="C38" s="9">
        <f>C15</f>
        <v>3650</v>
      </c>
      <c r="D38" s="9">
        <f>D15</f>
        <v>4712</v>
      </c>
    </row>
    <row r="39">
      <c r="A39" t="s">
        <v>37</v>
      </c>
      <c r="B39" s="6">
        <v>962</v>
      </c>
      <c r="C39" s="9">
        <f>(C25+C26-C30)-(B25+B26-B30)</f>
        <v>538</v>
      </c>
      <c r="D39" s="9">
        <f>(D25+D26-D30)-(C25+C26-C30)</f>
        <v>1133</v>
      </c>
    </row>
    <row r="40">
      <c r="A40" t="s">
        <v>38</v>
      </c>
      <c r="B40" s="9">
        <f>B18</f>
        <v>190</v>
      </c>
      <c r="C40" s="9">
        <f>C18</f>
        <v>500</v>
      </c>
      <c r="D40" s="9">
        <f>D18</f>
        <v>640</v>
      </c>
    </row>
    <row r="41">
      <c r="A41" t="s">
        <v>39</v>
      </c>
      <c r="B41" s="9">
        <f>B20</f>
        <v>655</v>
      </c>
      <c r="C41" s="9">
        <f>C20</f>
        <v>630</v>
      </c>
      <c r="D41" s="9">
        <f>D20</f>
        <v>790</v>
      </c>
    </row>
    <row r="42">
      <c r="A42" s="7" t="s">
        <v>40</v>
      </c>
      <c r="B42" s="8">
        <f>B38-B39-B40-B41</f>
        <v>1441</v>
      </c>
      <c r="C42" s="8">
        <f>C38-C39-C40-C41</f>
        <v>1982</v>
      </c>
      <c r="D42" s="8">
        <f>D38-D39-D40-D41</f>
        <v>2149</v>
      </c>
    </row>
    <row r="43">
      <c r="A43" t="s">
        <v>41</v>
      </c>
      <c r="B43" s="6">
        <v>900</v>
      </c>
      <c r="C43" s="6">
        <v>6600</v>
      </c>
      <c r="D43" s="6">
        <v>1100</v>
      </c>
    </row>
    <row r="44">
      <c r="A44" t="s">
        <v>42</v>
      </c>
      <c r="B44" s="6">
        <v>600</v>
      </c>
      <c r="C44" s="6">
        <v>400</v>
      </c>
      <c r="D44" s="6">
        <v>700</v>
      </c>
    </row>
    <row r="45">
      <c r="A45" t="s">
        <v>43</v>
      </c>
      <c r="B45" s="6">
        <v>-300</v>
      </c>
      <c r="C45" s="6">
        <v>5700</v>
      </c>
      <c r="D45" s="6">
        <v>-800</v>
      </c>
    </row>
    <row r="46">
      <c r="A46" t="s">
        <v>44</v>
      </c>
      <c r="B46" s="6">
        <v>400</v>
      </c>
      <c r="C46" s="9">
        <f>C31-B31</f>
        <v>-400</v>
      </c>
      <c r="D46" s="9">
        <f>D31-C31</f>
        <v>500</v>
      </c>
    </row>
    <row r="47">
      <c r="A47" s="7" t="s">
        <v>45</v>
      </c>
      <c r="B47" s="8">
        <f>B42-B43-B44+B45+B46</f>
        <v>41</v>
      </c>
      <c r="C47" s="8">
        <f>C42-C43-C44+C45+C46</f>
        <v>282</v>
      </c>
      <c r="D47" s="8">
        <f>D42-D43-D44+D45+D46</f>
        <v>49</v>
      </c>
    </row>
  </sheetData>
  <mergeCells count="4">
    <mergeCell ref="A3:D3"/>
    <mergeCell ref="A4:D4"/>
    <mergeCell ref="A5:D5"/>
    <mergeCell ref="A6:D6"/>
  </mergeCells>
  <hyperlinks>
    <hyperlink ref="A7" r:id="rId1"/>
  </hyperlink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2"/>
  <sheetViews>
    <sheetView workbookViewId="0"/>
  </sheetViews>
  <sheetFormatPr defaultRowHeight="15"/>
  <cols>
    <col min="1" max="1" width="48" customWidth="1"/>
    <col min="2" max="2" width="13" customWidth="1"/>
    <col min="3" max="3" width="13" customWidth="1"/>
    <col min="4" max="4" width="13" customWidth="1"/>
  </cols>
  <sheetData>
    <row r="1">
      <c r="A1" s="2" t="s">
        <v>46</v>
      </c>
    </row>
    <row r="2">
      <c r="A2" s="4" t="s">
        <v>7</v>
      </c>
    </row>
    <row r="4" ht="30" customHeight="1">
      <c r="A4" s="10" t="s">
        <v>47</v>
      </c>
    </row>
    <row r="6">
      <c r="A6" s="2" t="s">
        <v>48</v>
      </c>
      <c r="B6" s="5" t="s">
        <v>9</v>
      </c>
      <c r="C6" s="5" t="s">
        <v>10</v>
      </c>
      <c r="D6" s="5" t="s">
        <v>11</v>
      </c>
    </row>
    <row r="7">
      <c r="A7" t="s">
        <v>49</v>
      </c>
      <c r="B7" s="11" t="s">
        <v>50</v>
      </c>
      <c r="C7" s="12">
        <f>Accounts!C11/Accounts!B11-1</f>
        <v>0.11428571428571432</v>
      </c>
      <c r="D7" s="12">
        <f>Accounts!D11/Accounts!C11-1</f>
        <v>0.21794871794871784</v>
      </c>
    </row>
    <row r="8">
      <c r="A8" t="s">
        <v>51</v>
      </c>
      <c r="B8" s="12">
        <f>Accounts!B15/Accounts!B11</f>
        <v>0.116</v>
      </c>
      <c r="C8" s="12">
        <f>Accounts!C15/Accounts!C11</f>
        <v>0.11698717948717949</v>
      </c>
      <c r="D8" s="12">
        <f>Accounts!D15/Accounts!D11</f>
        <v>0.124</v>
      </c>
    </row>
    <row r="9">
      <c r="A9" t="s">
        <v>52</v>
      </c>
      <c r="B9" s="12">
        <f>Accounts!B42/Accounts!B15</f>
        <v>0.4436576354679803</v>
      </c>
      <c r="C9" s="12">
        <f>Accounts!C42/Accounts!C15</f>
        <v>0.5430136986301369</v>
      </c>
      <c r="D9" s="12">
        <f>Accounts!D42/Accounts!D15</f>
        <v>0.4560696095076401</v>
      </c>
    </row>
    <row r="10">
      <c r="A10" t="s">
        <v>53</v>
      </c>
      <c r="B10" s="13">
        <f>Accounts!B25/Accounts!B11*365</f>
        <v>42.00107142857143</v>
      </c>
      <c r="C10" s="13">
        <f>Accounts!C25/Accounts!C11*365</f>
        <v>43.004487179487185</v>
      </c>
      <c r="D10" s="13">
        <f>Accounts!D25/Accounts!D11*365</f>
        <v>44.00171052631579</v>
      </c>
    </row>
    <row r="11">
      <c r="A11" t="s">
        <v>54</v>
      </c>
      <c r="B11" s="13">
        <f>Accounts!B26/Accounts!B12*365</f>
        <v>59.99771062271062</v>
      </c>
      <c r="C11" s="13">
        <f>Accounts!C26/Accounts!C12*365</f>
        <v>59.99771062271062</v>
      </c>
      <c r="D11" s="13">
        <f>Accounts!D26/Accounts!D12*365</f>
        <v>60.005451127819555</v>
      </c>
    </row>
    <row r="12">
      <c r="A12" t="s">
        <v>55</v>
      </c>
      <c r="B12" s="13">
        <f>Accounts!B30/Accounts!B12*365</f>
        <v>36.006054131054135</v>
      </c>
      <c r="C12" s="13">
        <f>Accounts!C30/Accounts!C12*365</f>
        <v>37.00137362637363</v>
      </c>
      <c r="D12" s="13">
        <f>Accounts!D30/Accounts!D12*365</f>
        <v>37.99567669172932</v>
      </c>
    </row>
    <row r="13">
      <c r="A13" t="s">
        <v>56</v>
      </c>
      <c r="B13" s="13">
        <f>B10+B11-B12</f>
        <v>65.9927279202279</v>
      </c>
      <c r="C13" s="13">
        <f>C10+C11-C12</f>
        <v>66.00082417582416</v>
      </c>
      <c r="D13" s="13">
        <f>D10+D11-D12</f>
        <v>66.01148496240603</v>
      </c>
    </row>
    <row r="14">
      <c r="A14" t="s">
        <v>57</v>
      </c>
      <c r="B14" s="14">
        <f>(Accounts!B31+Accounts!B32)/Accounts!B15</f>
        <v>0.8004926108374384</v>
      </c>
      <c r="C14" s="14">
        <f>(Accounts!C31+Accounts!C32)/Accounts!C15</f>
        <v>2.164383561643836</v>
      </c>
      <c r="D14" s="14">
        <f>(Accounts!D31+Accounts!D32)/Accounts!D15</f>
        <v>1.6129032258064515</v>
      </c>
    </row>
    <row r="16">
      <c r="A16" s="2" t="s">
        <v>58</v>
      </c>
      <c r="B16" s="5" t="s">
        <v>9</v>
      </c>
      <c r="C16" s="5" t="s">
        <v>10</v>
      </c>
      <c r="D16" s="5" t="s">
        <v>11</v>
      </c>
    </row>
    <row r="17">
      <c r="A17" s="3" t="s">
        <v>59</v>
      </c>
      <c r="B17" s="14">
        <v>0.8004926108374384</v>
      </c>
      <c r="C17" s="14">
        <v>2.164383561643836</v>
      </c>
      <c r="D17" s="14">
        <v>1.6129032258064515</v>
      </c>
    </row>
    <row r="18">
      <c r="A18" s="3" t="s">
        <v>60</v>
      </c>
      <c r="B18" s="14">
        <v>13.305263157894737</v>
      </c>
      <c r="C18" s="14">
        <v>5.5</v>
      </c>
      <c r="D18" s="14">
        <v>5.409375</v>
      </c>
    </row>
    <row r="20" ht="30" customHeight="1">
      <c r="A20" s="3" t="s">
        <v>61</v>
      </c>
    </row>
    <row r="21" ht="30" customHeight="1">
      <c r="A21" s="3" t="s">
        <v>62</v>
      </c>
    </row>
    <row r="22">
      <c r="A22" s="3" t="s">
        <v>63</v>
      </c>
    </row>
  </sheetData>
  <mergeCells count="4">
    <mergeCell ref="A4:D4"/>
    <mergeCell ref="A20:D20"/>
    <mergeCell ref="A21:D21"/>
    <mergeCell ref="A22:D22"/>
  </mergeCells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:D21"/>
  <sheetViews>
    <sheetView workbookViewId="0"/>
  </sheetViews>
  <sheetFormatPr defaultRowHeight="15"/>
  <cols>
    <col min="1" max="1" width="34" customWidth="1"/>
    <col min="2" max="2" width="30" customWidth="1"/>
    <col min="3" max="3" width="30" customWidth="1"/>
    <col min="4" max="4" width="52" customWidth="1"/>
  </cols>
  <sheetData>
    <row r="1">
      <c r="A1" s="2" t="s">
        <v>64</v>
      </c>
    </row>
    <row r="2">
      <c r="A2" s="4" t="s">
        <v>7</v>
      </c>
    </row>
    <row r="4">
      <c r="A4" s="2" t="s">
        <v>65</v>
      </c>
    </row>
    <row r="5">
      <c r="A5" s="2" t="s">
        <v>66</v>
      </c>
      <c r="B5" s="2" t="s">
        <v>67</v>
      </c>
      <c r="C5" s="2" t="s">
        <v>68</v>
      </c>
      <c r="D5" s="2" t="s">
        <v>69</v>
      </c>
    </row>
    <row r="6" ht="30" customHeight="1">
      <c r="A6" s="3" t="s">
        <v>70</v>
      </c>
      <c r="B6" s="3" t="s">
        <v>71</v>
      </c>
      <c r="C6" s="3" t="s">
        <v>72</v>
      </c>
      <c r="D6" s="10" t="s">
        <v>73</v>
      </c>
    </row>
    <row r="7" ht="45" customHeight="1">
      <c r="A7" s="3" t="s">
        <v>74</v>
      </c>
      <c r="B7" s="3" t="s">
        <v>75</v>
      </c>
      <c r="C7" s="3" t="s">
        <v>76</v>
      </c>
      <c r="D7" s="10" t="s">
        <v>77</v>
      </c>
    </row>
    <row r="8" ht="60" customHeight="1">
      <c r="A8" s="3" t="s">
        <v>78</v>
      </c>
      <c r="B8" s="3" t="s">
        <v>79</v>
      </c>
      <c r="C8" s="3" t="s">
        <v>76</v>
      </c>
      <c r="D8" s="10" t="s">
        <v>80</v>
      </c>
    </row>
    <row r="10">
      <c r="A10" s="2" t="s">
        <v>81</v>
      </c>
    </row>
    <row r="11">
      <c r="A11" s="2" t="s">
        <v>66</v>
      </c>
      <c r="B11" s="2" t="s">
        <v>82</v>
      </c>
      <c r="C11" s="2" t="s">
        <v>83</v>
      </c>
      <c r="D11" s="2" t="s">
        <v>84</v>
      </c>
    </row>
    <row r="12" ht="45" customHeight="1">
      <c r="A12" s="3" t="s">
        <v>70</v>
      </c>
      <c r="B12" s="3" t="s">
        <v>85</v>
      </c>
      <c r="C12" s="3" t="s">
        <v>86</v>
      </c>
      <c r="D12" s="3" t="s">
        <v>87</v>
      </c>
    </row>
    <row r="13" ht="30" customHeight="1">
      <c r="A13" s="3" t="s">
        <v>88</v>
      </c>
      <c r="B13" s="3" t="s">
        <v>89</v>
      </c>
      <c r="C13" s="3" t="s">
        <v>90</v>
      </c>
      <c r="D13" s="3" t="s">
        <v>91</v>
      </c>
    </row>
    <row r="14">
      <c r="A14" s="3" t="s">
        <v>92</v>
      </c>
      <c r="B14" s="3" t="s">
        <v>93</v>
      </c>
      <c r="C14" s="3" t="s">
        <v>50</v>
      </c>
      <c r="D14" s="3" t="s">
        <v>50</v>
      </c>
    </row>
    <row r="15">
      <c r="A15" s="3" t="s">
        <v>94</v>
      </c>
      <c r="B15" s="3" t="s">
        <v>95</v>
      </c>
      <c r="C15" s="3" t="s">
        <v>96</v>
      </c>
      <c r="D15" s="3" t="s">
        <v>97</v>
      </c>
    </row>
    <row r="17">
      <c r="A17" s="2" t="s">
        <v>98</v>
      </c>
    </row>
    <row r="18" ht="30" customHeight="1">
      <c r="A18" s="3" t="s">
        <v>99</v>
      </c>
      <c r="B18" s="3" t="s">
        <v>100</v>
      </c>
    </row>
    <row r="19" ht="30" customHeight="1">
      <c r="A19" s="3" t="s">
        <v>101</v>
      </c>
      <c r="B19" s="3" t="s">
        <v>102</v>
      </c>
    </row>
    <row r="20">
      <c r="A20" s="3" t="s">
        <v>103</v>
      </c>
      <c r="B20" s="3" t="s">
        <v>104</v>
      </c>
    </row>
    <row r="21">
      <c r="A21" s="3" t="s">
        <v>105</v>
      </c>
      <c r="B21" s="3" t="s">
        <v>106</v>
      </c>
    </row>
  </sheetData>
  <mergeCells count="4">
    <mergeCell ref="B18:D18"/>
    <mergeCell ref="B19:D19"/>
    <mergeCell ref="B20:D20"/>
    <mergeCell ref="B21:D21"/>
  </mergeCells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2"/>
  <sheetViews>
    <sheetView workbookViewId="0"/>
  </sheetViews>
  <sheetFormatPr defaultRowHeight="15"/>
  <cols>
    <col min="1" max="1" width="40" customWidth="1"/>
    <col min="2" max="2" width="14" customWidth="1"/>
    <col min="3" max="3" width="14" customWidth="1"/>
    <col min="4" max="4" width="60" customWidth="1"/>
  </cols>
  <sheetData>
    <row r="1">
      <c r="A1" s="2" t="s">
        <v>107</v>
      </c>
    </row>
    <row r="2">
      <c r="A2" s="4" t="s">
        <v>7</v>
      </c>
    </row>
    <row r="4">
      <c r="A4" s="2" t="s">
        <v>108</v>
      </c>
      <c r="B4" s="5" t="s">
        <v>109</v>
      </c>
    </row>
    <row r="5">
      <c r="A5" t="s">
        <v>110</v>
      </c>
      <c r="B5" s="6">
        <v>2500</v>
      </c>
    </row>
    <row r="6">
      <c r="A6" t="s">
        <v>111</v>
      </c>
      <c r="B6" s="6">
        <v>2050</v>
      </c>
    </row>
    <row r="7">
      <c r="A7" t="s">
        <v>112</v>
      </c>
      <c r="B7" s="6">
        <v>2180</v>
      </c>
    </row>
    <row r="8">
      <c r="A8" t="s">
        <v>113</v>
      </c>
      <c r="B8" s="6">
        <v>2290</v>
      </c>
    </row>
    <row r="9">
      <c r="A9" t="s">
        <v>114</v>
      </c>
      <c r="B9" s="6">
        <v>2360</v>
      </c>
    </row>
    <row r="10">
      <c r="A10" t="s">
        <v>115</v>
      </c>
      <c r="B10" s="6">
        <v>2420</v>
      </c>
    </row>
    <row r="11">
      <c r="A11" t="s">
        <v>116</v>
      </c>
      <c r="B11" s="6">
        <v>2470</v>
      </c>
    </row>
    <row r="12">
      <c r="A12" t="s">
        <v>117</v>
      </c>
      <c r="B12" s="6">
        <v>2440</v>
      </c>
    </row>
    <row r="13">
      <c r="A13" t="s">
        <v>118</v>
      </c>
      <c r="B13" s="6">
        <v>2480</v>
      </c>
    </row>
    <row r="14">
      <c r="A14" t="s">
        <v>119</v>
      </c>
      <c r="B14" s="6">
        <v>2450</v>
      </c>
    </row>
    <row r="15">
      <c r="A15" t="s">
        <v>120</v>
      </c>
      <c r="B15" s="6">
        <v>2460</v>
      </c>
    </row>
    <row r="16">
      <c r="A16" t="s">
        <v>121</v>
      </c>
      <c r="B16" s="6">
        <v>2380</v>
      </c>
    </row>
    <row r="17">
      <c r="A17" t="s">
        <v>122</v>
      </c>
      <c r="B17" s="6">
        <v>2100</v>
      </c>
    </row>
    <row r="18" ht="30" customHeight="1">
      <c r="A18" s="10" t="s">
        <v>123</v>
      </c>
    </row>
    <row r="20">
      <c r="A20" s="2" t="s">
        <v>124</v>
      </c>
      <c r="B20" s="5" t="s">
        <v>109</v>
      </c>
      <c r="C20" s="5" t="s">
        <v>125</v>
      </c>
    </row>
    <row r="21">
      <c r="A21" s="3" t="s">
        <v>126</v>
      </c>
      <c r="B21" s="6">
        <v>3662</v>
      </c>
      <c r="C21" s="15">
        <f>B21/B$25</f>
        <v>0.7993887797424143</v>
      </c>
    </row>
    <row r="22">
      <c r="A22" s="3" t="s">
        <v>127</v>
      </c>
      <c r="B22" s="6">
        <v>689</v>
      </c>
      <c r="C22" s="15">
        <f>B22/B$25</f>
        <v>0.15040384195590484</v>
      </c>
    </row>
    <row r="23">
      <c r="A23" s="3" t="s">
        <v>128</v>
      </c>
      <c r="B23" s="6">
        <v>184</v>
      </c>
      <c r="C23" s="15">
        <f>B23/B$25</f>
        <v>0.04016590264134468</v>
      </c>
    </row>
    <row r="24">
      <c r="A24" s="3" t="s">
        <v>129</v>
      </c>
      <c r="B24" s="6">
        <v>46</v>
      </c>
      <c r="C24" s="15">
        <f>B24/B$25</f>
        <v>0.01004147566033617</v>
      </c>
      <c r="D24" s="10" t="s">
        <v>130</v>
      </c>
    </row>
    <row r="25">
      <c r="A25" s="7" t="s">
        <v>131</v>
      </c>
      <c r="B25" s="8">
        <f>SUM(B21:B24)</f>
        <v>4581</v>
      </c>
    </row>
    <row r="27">
      <c r="A27" s="2" t="s">
        <v>132</v>
      </c>
    </row>
    <row r="28">
      <c r="A28" s="2" t="s">
        <v>133</v>
      </c>
      <c r="B28" s="5" t="s">
        <v>11</v>
      </c>
      <c r="C28" s="5" t="s">
        <v>134</v>
      </c>
      <c r="D28" s="2" t="s">
        <v>84</v>
      </c>
    </row>
    <row r="29">
      <c r="A29" s="3" t="s">
        <v>135</v>
      </c>
      <c r="B29" s="15">
        <v>0.22</v>
      </c>
      <c r="C29" s="15">
        <v>0.25</v>
      </c>
      <c r="D29" s="10" t="s">
        <v>136</v>
      </c>
    </row>
    <row r="30">
      <c r="A30" s="3" t="s">
        <v>137</v>
      </c>
      <c r="B30" s="15">
        <v>0.17</v>
      </c>
      <c r="C30" s="15">
        <v>0.19</v>
      </c>
      <c r="D30" s="10" t="s">
        <v>138</v>
      </c>
    </row>
    <row r="31" ht="30" customHeight="1">
      <c r="A31" s="3" t="s">
        <v>139</v>
      </c>
      <c r="B31" s="15">
        <v>0.31</v>
      </c>
      <c r="C31" s="15">
        <v>0.34</v>
      </c>
      <c r="D31" s="10" t="s">
        <v>140</v>
      </c>
    </row>
    <row r="32">
      <c r="A32" s="3" t="s">
        <v>141</v>
      </c>
      <c r="B32" s="15">
        <v>0.3</v>
      </c>
      <c r="C32" s="15">
        <v>0.22</v>
      </c>
      <c r="D32" s="10" t="s">
        <v>142</v>
      </c>
    </row>
  </sheetData>
  <mergeCells count="1">
    <mergeCell ref="A18:D18"/>
  </mergeCells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dimension ref="A1:C21"/>
  <sheetViews>
    <sheetView workbookViewId="0"/>
  </sheetViews>
  <sheetFormatPr defaultRowHeight="15"/>
  <cols>
    <col min="1" max="1" width="34" customWidth="1"/>
    <col min="2" max="2" width="22" customWidth="1"/>
    <col min="3" max="3" width="70" customWidth="1"/>
  </cols>
  <sheetData>
    <row r="1">
      <c r="A1" s="2" t="s">
        <v>143</v>
      </c>
    </row>
    <row r="2">
      <c r="A2" s="4" t="s">
        <v>7</v>
      </c>
    </row>
    <row r="4">
      <c r="A4" s="2" t="s">
        <v>144</v>
      </c>
    </row>
    <row r="5">
      <c r="A5" s="2" t="s">
        <v>145</v>
      </c>
      <c r="B5" s="5" t="s">
        <v>146</v>
      </c>
      <c r="C5" s="2" t="s">
        <v>134</v>
      </c>
    </row>
    <row r="6">
      <c r="A6" s="3" t="s">
        <v>12</v>
      </c>
      <c r="B6" s="16" t="s">
        <v>147</v>
      </c>
      <c r="C6" s="3" t="s">
        <v>148</v>
      </c>
    </row>
    <row r="7">
      <c r="A7" s="3" t="s">
        <v>51</v>
      </c>
      <c r="B7" s="16" t="s">
        <v>149</v>
      </c>
      <c r="C7" s="3" t="s">
        <v>150</v>
      </c>
    </row>
    <row r="8">
      <c r="A8" s="3" t="s">
        <v>16</v>
      </c>
      <c r="B8" s="16" t="s">
        <v>151</v>
      </c>
      <c r="C8" s="3" t="s">
        <v>152</v>
      </c>
    </row>
    <row r="9">
      <c r="A9" s="3" t="s">
        <v>153</v>
      </c>
      <c r="B9" s="16" t="s">
        <v>154</v>
      </c>
      <c r="C9" s="3" t="s">
        <v>155</v>
      </c>
    </row>
    <row r="10">
      <c r="A10" s="3" t="s">
        <v>40</v>
      </c>
      <c r="B10" s="16" t="s">
        <v>156</v>
      </c>
      <c r="C10" s="3" t="s">
        <v>157</v>
      </c>
    </row>
    <row r="11">
      <c r="A11" s="3" t="s">
        <v>158</v>
      </c>
      <c r="B11" s="16" t="s">
        <v>159</v>
      </c>
      <c r="C11" s="3" t="s">
        <v>160</v>
      </c>
    </row>
    <row r="12">
      <c r="A12" s="3" t="s">
        <v>42</v>
      </c>
      <c r="B12" s="16" t="s">
        <v>161</v>
      </c>
      <c r="C12" s="3" t="s">
        <v>162</v>
      </c>
    </row>
    <row r="13">
      <c r="A13" s="3" t="s">
        <v>163</v>
      </c>
      <c r="B13" s="16" t="s">
        <v>164</v>
      </c>
      <c r="C13" s="3" t="s">
        <v>165</v>
      </c>
    </row>
    <row r="14">
      <c r="A14" s="3" t="s">
        <v>166</v>
      </c>
      <c r="B14" s="16" t="s">
        <v>167</v>
      </c>
      <c r="C14" s="3" t="s">
        <v>168</v>
      </c>
    </row>
    <row r="16">
      <c r="A16" s="2" t="s">
        <v>169</v>
      </c>
    </row>
    <row r="17">
      <c r="A17" s="2" t="s">
        <v>145</v>
      </c>
      <c r="B17" s="5" t="s">
        <v>170</v>
      </c>
      <c r="C17" s="2" t="s">
        <v>171</v>
      </c>
    </row>
    <row r="18">
      <c r="A18" s="3" t="s">
        <v>12</v>
      </c>
      <c r="B18" s="11" t="s">
        <v>172</v>
      </c>
      <c r="C18" s="3" t="s">
        <v>147</v>
      </c>
    </row>
    <row r="19">
      <c r="A19" s="3" t="s">
        <v>16</v>
      </c>
      <c r="B19" s="11" t="s">
        <v>173</v>
      </c>
      <c r="C19" s="3" t="s">
        <v>151</v>
      </c>
    </row>
    <row r="20">
      <c r="A20" s="3" t="s">
        <v>158</v>
      </c>
      <c r="B20" s="11" t="s">
        <v>174</v>
      </c>
      <c r="C20" s="3" t="s">
        <v>159</v>
      </c>
    </row>
    <row r="21">
      <c r="A21" s="3" t="s">
        <v>175</v>
      </c>
      <c r="B21" s="11" t="s">
        <v>176</v>
      </c>
      <c r="C21" s="3" t="s">
        <v>177</v>
      </c>
    </row>
  </sheetData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dimension ref="A1:C20"/>
  <sheetViews>
    <sheetView workbookViewId="0"/>
  </sheetViews>
  <sheetFormatPr defaultRowHeight="15"/>
  <cols>
    <col min="1" max="1" width="36" customWidth="1"/>
    <col min="2" max="2" width="12" customWidth="1"/>
    <col min="3" max="3" width="90" customWidth="1"/>
  </cols>
  <sheetData>
    <row r="1">
      <c r="A1" s="2" t="s">
        <v>178</v>
      </c>
    </row>
    <row r="2">
      <c r="A2" s="4" t="s">
        <v>7</v>
      </c>
    </row>
    <row r="4">
      <c r="A4" s="2" t="s">
        <v>179</v>
      </c>
    </row>
    <row r="5">
      <c r="A5" s="2" t="s">
        <v>180</v>
      </c>
      <c r="B5" s="5" t="s">
        <v>125</v>
      </c>
      <c r="C5" s="2" t="s">
        <v>69</v>
      </c>
    </row>
    <row r="6">
      <c r="A6" s="3" t="s">
        <v>181</v>
      </c>
      <c r="B6" s="15">
        <v>0.85</v>
      </c>
      <c r="C6" s="10" t="s">
        <v>182</v>
      </c>
    </row>
    <row r="7">
      <c r="A7" s="3" t="s">
        <v>183</v>
      </c>
      <c r="B7" s="15">
        <v>0.15</v>
      </c>
      <c r="C7" s="10" t="s">
        <v>184</v>
      </c>
    </row>
    <row r="9">
      <c r="A9" s="17" t="s">
        <v>185</v>
      </c>
      <c r="B9" s="3" t="s">
        <v>186</v>
      </c>
    </row>
    <row r="10">
      <c r="A10" s="17" t="s">
        <v>187</v>
      </c>
      <c r="B10" s="3" t="s">
        <v>188</v>
      </c>
    </row>
    <row r="11">
      <c r="A11" s="17" t="s">
        <v>189</v>
      </c>
      <c r="B11" s="3" t="s">
        <v>190</v>
      </c>
    </row>
    <row r="13" ht="30" customHeight="1">
      <c r="A13" s="3" t="s">
        <v>191</v>
      </c>
    </row>
    <row r="15">
      <c r="A15" s="2" t="s">
        <v>192</v>
      </c>
    </row>
    <row r="16">
      <c r="A16" s="3" t="s">
        <v>193</v>
      </c>
    </row>
    <row r="17">
      <c r="A17" s="3" t="s">
        <v>194</v>
      </c>
    </row>
    <row r="18">
      <c r="A18" s="3" t="s">
        <v>195</v>
      </c>
    </row>
    <row r="19">
      <c r="A19" s="3" t="s">
        <v>196</v>
      </c>
    </row>
    <row r="20">
      <c r="A20" s="3" t="s">
        <v>197</v>
      </c>
    </row>
  </sheetData>
  <mergeCells count="9">
    <mergeCell ref="B9:C9"/>
    <mergeCell ref="B10:C10"/>
    <mergeCell ref="B11:C11"/>
    <mergeCell ref="A13:C13"/>
    <mergeCell ref="A16:C16"/>
    <mergeCell ref="A17:C17"/>
    <mergeCell ref="A18:C18"/>
    <mergeCell ref="A19:C19"/>
    <mergeCell ref="A20:C20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Banking Judgment Lab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Accounts</vt:lpstr>
      <vt:lpstr>Ratios &amp; covenants</vt:lpstr>
      <vt:lpstr>Facilities &amp; security</vt:lpstr>
      <vt:lpstr>Conduct &amp; debtors</vt:lpstr>
      <vt:lpstr>Budget</vt:lpstr>
      <vt:lpstr>The business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Highview Industries Ltd — the file, Issue 04</dc:title>
  <dc:subject>Highview Industries — Working Capital Drill</dc:subject>
  <dc:creator>Banking Judgment Lab</dc:creator>
  <dc:description>https://www.bankingjudgmentlab.com/drills/highview-working-capital · Composite case — fictional. Built for teaching; it describes no real company.</dc:description>
  <cp:lastModifiedBy>Banking Judgment Lab</cp:lastModifiedBy>
  <dcterms:created xsi:type="dcterms:W3CDTF">2026-07-30T00:00:00Z</dcterms:created>
  <dcterms:modified xsi:type="dcterms:W3CDTF">2026-09-26T00:00:00Z</dcterms:modified>
</cp:coreProperties>
</file>